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web\dgh\projects\energy\"/>
    </mc:Choice>
  </mc:AlternateContent>
  <xr:revisionPtr revIDLastSave="0" documentId="13_ncr:1_{B3455482-BCD9-4DC5-9BEC-CD3C5B7BB62F}" xr6:coauthVersionLast="47" xr6:coauthVersionMax="47" xr10:uidLastSave="{00000000-0000-0000-0000-000000000000}"/>
  <bookViews>
    <workbookView xWindow="-108" yWindow="-108" windowWidth="23256" windowHeight="12456" tabRatio="599" xr2:uid="{A038C4D1-46DB-4D1D-90B0-AF39C83B7CCB}"/>
  </bookViews>
  <sheets>
    <sheet name="Octopus Flux" sheetId="8" r:id="rId1"/>
    <sheet name="Notes" sheetId="9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8" l="1"/>
  <c r="E28" i="8" s="1"/>
  <c r="F28" i="8" s="1"/>
  <c r="G28" i="8" s="1"/>
  <c r="H28" i="8" s="1"/>
  <c r="I28" i="8" s="1"/>
  <c r="J28" i="8" s="1"/>
  <c r="K28" i="8" s="1"/>
  <c r="L28" i="8" s="1"/>
  <c r="M28" i="8" s="1"/>
  <c r="C28" i="8"/>
  <c r="M19" i="8"/>
  <c r="L19" i="8"/>
  <c r="I19" i="8"/>
  <c r="H19" i="8"/>
  <c r="G19" i="8"/>
  <c r="F19" i="8"/>
  <c r="D19" i="8"/>
  <c r="C19" i="8"/>
  <c r="B19" i="8"/>
  <c r="M17" i="8"/>
  <c r="L17" i="8"/>
  <c r="K17" i="8"/>
  <c r="K19" i="8" s="1"/>
  <c r="J17" i="8"/>
  <c r="J19" i="8" s="1"/>
  <c r="I17" i="8"/>
  <c r="H17" i="8"/>
  <c r="G17" i="8"/>
  <c r="F17" i="8"/>
  <c r="E17" i="8"/>
  <c r="E19" i="8" s="1"/>
  <c r="D17" i="8"/>
  <c r="C17" i="8"/>
  <c r="B17" i="8"/>
  <c r="B37" i="8"/>
  <c r="M5" i="8"/>
  <c r="L5" i="8"/>
  <c r="K5" i="8"/>
  <c r="J5" i="8"/>
  <c r="I5" i="8"/>
  <c r="H5" i="8"/>
  <c r="G5" i="8"/>
  <c r="F5" i="8"/>
  <c r="E5" i="8"/>
  <c r="D5" i="8"/>
  <c r="C5" i="8"/>
  <c r="M36" i="8"/>
  <c r="L36" i="8"/>
  <c r="K36" i="8"/>
  <c r="J36" i="8"/>
  <c r="I36" i="8"/>
  <c r="H36" i="8"/>
  <c r="G36" i="8"/>
  <c r="F36" i="8"/>
  <c r="E36" i="8"/>
  <c r="D36" i="8"/>
  <c r="C36" i="8"/>
  <c r="M35" i="8"/>
  <c r="L35" i="8"/>
  <c r="K35" i="8"/>
  <c r="J35" i="8"/>
  <c r="I35" i="8"/>
  <c r="H35" i="8"/>
  <c r="G35" i="8"/>
  <c r="F35" i="8"/>
  <c r="E35" i="8"/>
  <c r="D35" i="8"/>
  <c r="C35" i="8"/>
  <c r="B40" i="8"/>
  <c r="B39" i="8"/>
  <c r="B36" i="8"/>
  <c r="B35" i="8"/>
  <c r="B34" i="8"/>
  <c r="M12" i="8"/>
  <c r="L12" i="8"/>
  <c r="K12" i="8"/>
  <c r="J12" i="8"/>
  <c r="I12" i="8"/>
  <c r="H12" i="8"/>
  <c r="G12" i="8"/>
  <c r="F12" i="8"/>
  <c r="E12" i="8"/>
  <c r="D12" i="8"/>
  <c r="C12" i="8"/>
  <c r="B12" i="8"/>
  <c r="M8" i="8"/>
  <c r="L8" i="8"/>
  <c r="K8" i="8"/>
  <c r="J8" i="8"/>
  <c r="I8" i="8"/>
  <c r="H8" i="8"/>
  <c r="G8" i="8"/>
  <c r="F8" i="8"/>
  <c r="E8" i="8"/>
  <c r="D8" i="8"/>
  <c r="J37" i="8" l="1"/>
  <c r="K37" i="8"/>
  <c r="K20" i="8"/>
  <c r="C37" i="8"/>
  <c r="C20" i="8"/>
  <c r="B20" i="8"/>
  <c r="D37" i="8"/>
  <c r="E37" i="8"/>
  <c r="F37" i="8"/>
  <c r="G37" i="8"/>
  <c r="H37" i="8"/>
  <c r="I37" i="8"/>
  <c r="M37" i="8" l="1"/>
  <c r="M20" i="8"/>
  <c r="L37" i="8"/>
  <c r="L20" i="8"/>
  <c r="C8" i="8" l="1"/>
  <c r="B8" i="8"/>
  <c r="C32" i="8" l="1"/>
  <c r="D32" i="8" s="1"/>
  <c r="E32" i="8" s="1"/>
  <c r="F32" i="8" s="1"/>
  <c r="G32" i="8" s="1"/>
  <c r="H32" i="8" s="1"/>
  <c r="I32" i="8" s="1"/>
  <c r="J32" i="8" s="1"/>
  <c r="K32" i="8" s="1"/>
  <c r="L32" i="8" s="1"/>
  <c r="M32" i="8" s="1"/>
  <c r="C31" i="8"/>
  <c r="C40" i="8" s="1"/>
  <c r="C30" i="8"/>
  <c r="C39" i="8" s="1"/>
  <c r="D31" i="8" l="1"/>
  <c r="D40" i="8" s="1"/>
  <c r="O36" i="8"/>
  <c r="O35" i="8"/>
  <c r="D30" i="8"/>
  <c r="D39" i="8" s="1"/>
  <c r="O37" i="8"/>
  <c r="B42" i="8"/>
  <c r="C24" i="8"/>
  <c r="C34" i="8" s="1"/>
  <c r="E31" i="8" l="1"/>
  <c r="C42" i="8"/>
  <c r="E30" i="8"/>
  <c r="E39" i="8" s="1"/>
  <c r="D24" i="8"/>
  <c r="D34" i="8" s="1"/>
  <c r="F31" i="8" l="1"/>
  <c r="F40" i="8" s="1"/>
  <c r="F30" i="8"/>
  <c r="F39" i="8" s="1"/>
  <c r="D42" i="8"/>
  <c r="E24" i="8"/>
  <c r="E34" i="8" s="1"/>
  <c r="G31" i="8" l="1"/>
  <c r="G40" i="8" s="1"/>
  <c r="G30" i="8"/>
  <c r="G39" i="8" s="1"/>
  <c r="H30" i="8"/>
  <c r="H39" i="8" s="1"/>
  <c r="F24" i="8"/>
  <c r="F34" i="8" s="1"/>
  <c r="H31" i="8" l="1"/>
  <c r="H40" i="8" s="1"/>
  <c r="F42" i="8"/>
  <c r="I30" i="8"/>
  <c r="I39" i="8" s="1"/>
  <c r="G24" i="8"/>
  <c r="G34" i="8" s="1"/>
  <c r="I31" i="8" l="1"/>
  <c r="I40" i="8" s="1"/>
  <c r="G42" i="8"/>
  <c r="J30" i="8"/>
  <c r="J39" i="8" s="1"/>
  <c r="H24" i="8"/>
  <c r="H34" i="8" s="1"/>
  <c r="J31" i="8" l="1"/>
  <c r="J40" i="8" s="1"/>
  <c r="H42" i="8"/>
  <c r="K30" i="8"/>
  <c r="K39" i="8" s="1"/>
  <c r="I24" i="8"/>
  <c r="I34" i="8" s="1"/>
  <c r="K31" i="8" l="1"/>
  <c r="K40" i="8" s="1"/>
  <c r="I42" i="8"/>
  <c r="L30" i="8"/>
  <c r="L39" i="8" s="1"/>
  <c r="J24" i="8"/>
  <c r="J34" i="8" s="1"/>
  <c r="L31" i="8" l="1"/>
  <c r="L40" i="8" s="1"/>
  <c r="J42" i="8"/>
  <c r="M30" i="8"/>
  <c r="K24" i="8"/>
  <c r="K34" i="8" s="1"/>
  <c r="M39" i="8" l="1"/>
  <c r="O39" i="8" s="1"/>
  <c r="M31" i="8"/>
  <c r="M40" i="8" s="1"/>
  <c r="K42" i="8"/>
  <c r="L24" i="8"/>
  <c r="L34" i="8" s="1"/>
  <c r="L42" i="8" l="1"/>
  <c r="M24" i="8"/>
  <c r="M34" i="8" s="1"/>
  <c r="O34" i="8" l="1"/>
  <c r="M42" i="8"/>
  <c r="E40" i="8"/>
  <c r="O40" i="8" s="1"/>
  <c r="O42" i="8" s="1"/>
  <c r="E42" i="8" l="1"/>
</calcChain>
</file>

<file path=xl/sharedStrings.xml><?xml version="1.0" encoding="utf-8"?>
<sst xmlns="http://schemas.openxmlformats.org/spreadsheetml/2006/main" count="61" uniqueCount="59">
  <si>
    <t>Notes</t>
  </si>
  <si>
    <t>Jan</t>
  </si>
  <si>
    <t>Feb</t>
  </si>
  <si>
    <t>Mar</t>
  </si>
  <si>
    <t>April</t>
  </si>
  <si>
    <t>May</t>
  </si>
  <si>
    <t>Jun</t>
  </si>
  <si>
    <t>Jul</t>
  </si>
  <si>
    <t>Aug</t>
  </si>
  <si>
    <t>Sep</t>
  </si>
  <si>
    <t>Oct</t>
  </si>
  <si>
    <t>Nov</t>
  </si>
  <si>
    <t>Dec</t>
  </si>
  <si>
    <t>Historical baseline electricity usage</t>
  </si>
  <si>
    <t>Import Off-Peak (02:00-05:00)</t>
  </si>
  <si>
    <t>Import Peak (16:00-19:00)</t>
  </si>
  <si>
    <t>Import Peak (rest of day)</t>
  </si>
  <si>
    <t>Export Rate (rest of day)</t>
  </si>
  <si>
    <t>Export rate (02:00-05:00)</t>
  </si>
  <si>
    <t>Peak Costs (16:00-19:00)</t>
  </si>
  <si>
    <t>Peak Costs (rest of day)</t>
  </si>
  <si>
    <t>Export Revenue (rest of day)</t>
  </si>
  <si>
    <t>Export Revenue (16:00-19:00)</t>
  </si>
  <si>
    <t>Export Rate (16:00-19:00)</t>
  </si>
  <si>
    <t>Exported Peak (16:00-19:00)</t>
  </si>
  <si>
    <t>Exported Peak (rest of day)</t>
  </si>
  <si>
    <t>Monthly Solar Generation</t>
  </si>
  <si>
    <t>Days In Month</t>
  </si>
  <si>
    <t>Solar into EV</t>
  </si>
  <si>
    <t>Imported into EV</t>
  </si>
  <si>
    <t>Total into EV</t>
  </si>
  <si>
    <t>Import Peak Rate (16:00-19:00)</t>
  </si>
  <si>
    <t>Import Peak Rate (rest of day)</t>
  </si>
  <si>
    <t>Import Off-Peak Rate (02:00-05:00)</t>
  </si>
  <si>
    <t>Monthly House Usage</t>
  </si>
  <si>
    <t>Daily Average Generation</t>
  </si>
  <si>
    <t>Energy  Balance</t>
  </si>
  <si>
    <t>This is usage less generated energy, i.e. has to be imported</t>
  </si>
  <si>
    <t>Standing Charge Costs</t>
  </si>
  <si>
    <t>Monthly Bill</t>
  </si>
  <si>
    <t>Negative means you pay Octopus</t>
  </si>
  <si>
    <t>Income from exporting</t>
  </si>
  <si>
    <t>Daily average into Powerwall</t>
  </si>
  <si>
    <t>These are forced imports for the EV</t>
  </si>
  <si>
    <t>For information only</t>
  </si>
  <si>
    <t>For info only &amp; based on several years of meter readings</t>
  </si>
  <si>
    <t>Actuals and some PVGIS predictions</t>
  </si>
  <si>
    <t>Using Zappi charger and solar power</t>
  </si>
  <si>
    <t>Assuming all imports at cheapest rate, includes EV</t>
  </si>
  <si>
    <t>To run house on battery outside cheap rate</t>
  </si>
  <si>
    <t>Month</t>
  </si>
  <si>
    <t>Daily Standing Charge</t>
  </si>
  <si>
    <t>Unavoidable costs</t>
  </si>
  <si>
    <t>Zero import in this time period</t>
  </si>
  <si>
    <t>Off-Peak Costs (02:00-05:00)</t>
  </si>
  <si>
    <t>The numbers are currently fairly pessimistic.  With my original estimates, Octopus would be paying about £100 per year for using and exporting elecricity.</t>
  </si>
  <si>
    <t>The peak export period (16:00-19:00) does not coincide with my ability to generate and export energy over winter.  The sun simply isn't visible in the sky!</t>
  </si>
  <si>
    <t>These projections assume my Tesla Powerwall is installed.  It's 5kW charging and discharging rate is important in making this tariff work.</t>
  </si>
  <si>
    <t>You can change numbers in blue to match your own system and usage profile.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</si>
</sst>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164" formatCode="0.000"/>
    <numFmt numFmtId="165" formatCode="&quot;£&quot;#,##0.00"/>
    <numFmt numFmtId="166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i/>
      <sz val="11"/>
      <color rgb="FF00B0F0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166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right"/>
    </xf>
    <xf numFmtId="165" fontId="0" fillId="0" borderId="0" xfId="0" applyNumberFormat="1"/>
    <xf numFmtId="164" fontId="1" fillId="0" borderId="0" xfId="0" applyNumberFormat="1" applyFont="1" applyAlignment="1">
      <alignment horizontal="right"/>
    </xf>
    <xf numFmtId="164" fontId="0" fillId="0" borderId="0" xfId="0" applyNumberFormat="1"/>
    <xf numFmtId="165" fontId="1" fillId="0" borderId="0" xfId="0" applyNumberFormat="1" applyFont="1" applyAlignment="1">
      <alignment horizontal="right"/>
    </xf>
    <xf numFmtId="165" fontId="1" fillId="0" borderId="0" xfId="0" applyNumberFormat="1" applyFont="1"/>
    <xf numFmtId="164" fontId="4" fillId="0" borderId="0" xfId="0" applyNumberFormat="1" applyFont="1" applyAlignment="1">
      <alignment horizontal="right"/>
    </xf>
    <xf numFmtId="164" fontId="5" fillId="0" borderId="0" xfId="0" applyNumberFormat="1" applyFont="1"/>
    <xf numFmtId="164" fontId="5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right"/>
    </xf>
    <xf numFmtId="1" fontId="0" fillId="0" borderId="0" xfId="0" applyNumberFormat="1"/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6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4" fontId="9" fillId="0" borderId="0" xfId="0" applyNumberFormat="1" applyFont="1"/>
    <xf numFmtId="1" fontId="6" fillId="0" borderId="0" xfId="0" applyNumberFormat="1" applyFont="1" applyAlignment="1">
      <alignment horizontal="center"/>
    </xf>
    <xf numFmtId="1" fontId="6" fillId="0" borderId="0" xfId="0" applyNumberFormat="1" applyFont="1"/>
    <xf numFmtId="165" fontId="10" fillId="0" borderId="0" xfId="0" applyNumberFormat="1" applyFont="1"/>
    <xf numFmtId="165" fontId="5" fillId="0" borderId="0" xfId="0" applyNumberFormat="1" applyFont="1"/>
    <xf numFmtId="1" fontId="12" fillId="0" borderId="0" xfId="0" applyNumberFormat="1" applyFont="1" applyAlignment="1">
      <alignment horizontal="center"/>
    </xf>
    <xf numFmtId="0" fontId="11" fillId="0" borderId="0" xfId="0" applyFont="1" applyAlignment="1">
      <alignment horizontal="right"/>
    </xf>
    <xf numFmtId="166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1" fontId="8" fillId="0" borderId="0" xfId="0" applyNumberFormat="1" applyFont="1" applyAlignment="1">
      <alignment horizontal="right"/>
    </xf>
    <xf numFmtId="1" fontId="9" fillId="0" borderId="0" xfId="0" applyNumberFormat="1" applyFont="1" applyAlignment="1">
      <alignment horizontal="center"/>
    </xf>
    <xf numFmtId="1" fontId="9" fillId="0" borderId="0" xfId="0" applyNumberFormat="1" applyFont="1"/>
    <xf numFmtId="1" fontId="13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right"/>
    </xf>
    <xf numFmtId="8" fontId="9" fillId="0" borderId="0" xfId="0" applyNumberFormat="1" applyFont="1" applyAlignment="1">
      <alignment horizontal="center"/>
    </xf>
    <xf numFmtId="8" fontId="8" fillId="0" borderId="0" xfId="0" applyNumberFormat="1" applyFont="1" applyAlignment="1">
      <alignment horizontal="center"/>
    </xf>
    <xf numFmtId="165" fontId="9" fillId="0" borderId="0" xfId="0" applyNumberFormat="1" applyFont="1"/>
    <xf numFmtId="0" fontId="14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9002E-0708-426B-AE94-B5A775471692}">
  <dimension ref="A1:Q42"/>
  <sheetViews>
    <sheetView tabSelected="1" zoomScale="90" zoomScaleNormal="90" workbookViewId="0">
      <selection activeCell="S36" sqref="S36"/>
    </sheetView>
  </sheetViews>
  <sheetFormatPr defaultRowHeight="14.4" x14ac:dyDescent="0.3"/>
  <cols>
    <col min="1" max="1" width="32.77734375" style="5" customWidth="1"/>
    <col min="2" max="13" width="10.77734375" style="1" customWidth="1"/>
    <col min="14" max="14" width="4.77734375" style="1" customWidth="1"/>
    <col min="15" max="15" width="10.77734375" style="17" customWidth="1"/>
    <col min="16" max="16" width="4.77734375" customWidth="1"/>
    <col min="17" max="17" width="72.77734375" style="42" customWidth="1"/>
  </cols>
  <sheetData>
    <row r="1" spans="1:17" s="19" customFormat="1" ht="15.6" x14ac:dyDescent="0.3">
      <c r="A1" s="19" t="s">
        <v>50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0" t="s">
        <v>12</v>
      </c>
      <c r="N1" s="20"/>
      <c r="O1" s="21"/>
      <c r="Q1" s="41" t="s">
        <v>0</v>
      </c>
    </row>
    <row r="2" spans="1:17" s="2" customFormat="1" x14ac:dyDescent="0.3">
      <c r="A2" s="3" t="s">
        <v>27</v>
      </c>
      <c r="B2" s="27">
        <v>31</v>
      </c>
      <c r="C2" s="27">
        <v>29</v>
      </c>
      <c r="D2" s="27">
        <v>31</v>
      </c>
      <c r="E2" s="27">
        <v>30</v>
      </c>
      <c r="F2" s="27">
        <v>31</v>
      </c>
      <c r="G2" s="27">
        <v>30</v>
      </c>
      <c r="H2" s="27">
        <v>31</v>
      </c>
      <c r="I2" s="27">
        <v>31</v>
      </c>
      <c r="J2" s="27">
        <v>30</v>
      </c>
      <c r="K2" s="27">
        <v>31</v>
      </c>
      <c r="L2" s="27">
        <v>30</v>
      </c>
      <c r="M2" s="27">
        <v>31</v>
      </c>
      <c r="O2" s="16"/>
      <c r="Q2" s="33"/>
    </row>
    <row r="3" spans="1:17" s="2" customFormat="1" x14ac:dyDescent="0.3">
      <c r="A3" s="14"/>
      <c r="O3" s="16"/>
      <c r="Q3" s="33"/>
    </row>
    <row r="4" spans="1:17" s="34" customFormat="1" x14ac:dyDescent="0.3">
      <c r="A4" s="32" t="s">
        <v>13</v>
      </c>
      <c r="B4" s="27">
        <v>528</v>
      </c>
      <c r="C4" s="27">
        <v>433</v>
      </c>
      <c r="D4" s="27">
        <v>387</v>
      </c>
      <c r="E4" s="27">
        <v>392</v>
      </c>
      <c r="F4" s="27">
        <v>382</v>
      </c>
      <c r="G4" s="27">
        <v>346</v>
      </c>
      <c r="H4" s="27">
        <v>380</v>
      </c>
      <c r="I4" s="27">
        <v>377</v>
      </c>
      <c r="J4" s="27">
        <v>373</v>
      </c>
      <c r="K4" s="27">
        <v>443</v>
      </c>
      <c r="L4" s="27">
        <v>486</v>
      </c>
      <c r="M4" s="27">
        <v>539</v>
      </c>
      <c r="N4" s="33"/>
      <c r="O4" s="33"/>
      <c r="Q4" s="34" t="s">
        <v>45</v>
      </c>
    </row>
    <row r="5" spans="1:17" s="34" customFormat="1" x14ac:dyDescent="0.3">
      <c r="A5" s="32" t="s">
        <v>34</v>
      </c>
      <c r="B5" s="23">
        <v>528</v>
      </c>
      <c r="C5" s="23">
        <f t="shared" ref="C5:M5" si="0">C4</f>
        <v>433</v>
      </c>
      <c r="D5" s="23">
        <f t="shared" si="0"/>
        <v>387</v>
      </c>
      <c r="E5" s="23">
        <f t="shared" si="0"/>
        <v>392</v>
      </c>
      <c r="F5" s="23">
        <f t="shared" si="0"/>
        <v>382</v>
      </c>
      <c r="G5" s="23">
        <f t="shared" si="0"/>
        <v>346</v>
      </c>
      <c r="H5" s="23">
        <f t="shared" si="0"/>
        <v>380</v>
      </c>
      <c r="I5" s="23">
        <f t="shared" si="0"/>
        <v>377</v>
      </c>
      <c r="J5" s="23">
        <f t="shared" si="0"/>
        <v>373</v>
      </c>
      <c r="K5" s="23">
        <f t="shared" si="0"/>
        <v>443</v>
      </c>
      <c r="L5" s="23">
        <f t="shared" si="0"/>
        <v>486</v>
      </c>
      <c r="M5" s="23">
        <f t="shared" si="0"/>
        <v>539</v>
      </c>
      <c r="N5" s="33"/>
      <c r="O5" s="33"/>
    </row>
    <row r="6" spans="1:17" s="34" customFormat="1" x14ac:dyDescent="0.3">
      <c r="A6" s="32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33"/>
      <c r="O6" s="33"/>
    </row>
    <row r="7" spans="1:17" s="34" customFormat="1" x14ac:dyDescent="0.3">
      <c r="A7" s="32" t="s">
        <v>26</v>
      </c>
      <c r="B7" s="23">
        <v>307</v>
      </c>
      <c r="C7" s="23">
        <v>490</v>
      </c>
      <c r="D7" s="35">
        <v>600</v>
      </c>
      <c r="E7" s="35">
        <v>770</v>
      </c>
      <c r="F7" s="35">
        <v>790</v>
      </c>
      <c r="G7" s="35">
        <v>790</v>
      </c>
      <c r="H7" s="35">
        <v>790</v>
      </c>
      <c r="I7" s="35">
        <v>735</v>
      </c>
      <c r="J7" s="35">
        <v>650</v>
      </c>
      <c r="K7" s="35">
        <v>470</v>
      </c>
      <c r="L7" s="23">
        <v>255</v>
      </c>
      <c r="M7" s="23">
        <v>265</v>
      </c>
      <c r="N7" s="33"/>
      <c r="O7" s="33"/>
      <c r="Q7" s="34" t="s">
        <v>46</v>
      </c>
    </row>
    <row r="8" spans="1:17" s="34" customFormat="1" x14ac:dyDescent="0.3">
      <c r="A8" s="32" t="s">
        <v>35</v>
      </c>
      <c r="B8" s="27">
        <f t="shared" ref="B8:M8" si="1">B7/B2</f>
        <v>9.9032258064516121</v>
      </c>
      <c r="C8" s="27">
        <f t="shared" si="1"/>
        <v>16.896551724137932</v>
      </c>
      <c r="D8" s="27">
        <f t="shared" si="1"/>
        <v>19.35483870967742</v>
      </c>
      <c r="E8" s="27">
        <f t="shared" si="1"/>
        <v>25.666666666666668</v>
      </c>
      <c r="F8" s="27">
        <f t="shared" si="1"/>
        <v>25.483870967741936</v>
      </c>
      <c r="G8" s="27">
        <f t="shared" si="1"/>
        <v>26.333333333333332</v>
      </c>
      <c r="H8" s="27">
        <f t="shared" si="1"/>
        <v>25.483870967741936</v>
      </c>
      <c r="I8" s="27">
        <f t="shared" si="1"/>
        <v>23.70967741935484</v>
      </c>
      <c r="J8" s="27">
        <f t="shared" si="1"/>
        <v>21.666666666666668</v>
      </c>
      <c r="K8" s="27">
        <f t="shared" si="1"/>
        <v>15.161290322580646</v>
      </c>
      <c r="L8" s="27">
        <f t="shared" si="1"/>
        <v>8.5</v>
      </c>
      <c r="M8" s="27">
        <f t="shared" si="1"/>
        <v>8.5483870967741939</v>
      </c>
      <c r="N8" s="33"/>
      <c r="O8" s="33"/>
      <c r="Q8" s="34" t="s">
        <v>44</v>
      </c>
    </row>
    <row r="9" spans="1:17" s="34" customFormat="1" x14ac:dyDescent="0.3">
      <c r="A9" s="32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</row>
    <row r="10" spans="1:17" s="34" customFormat="1" x14ac:dyDescent="0.3">
      <c r="A10" s="32" t="s">
        <v>28</v>
      </c>
      <c r="B10" s="23">
        <v>79</v>
      </c>
      <c r="C10" s="23">
        <v>80</v>
      </c>
      <c r="D10" s="35">
        <v>150</v>
      </c>
      <c r="E10" s="35">
        <v>230</v>
      </c>
      <c r="F10" s="35">
        <v>250</v>
      </c>
      <c r="G10" s="35">
        <v>250</v>
      </c>
      <c r="H10" s="35">
        <v>250</v>
      </c>
      <c r="I10" s="35">
        <v>250</v>
      </c>
      <c r="J10" s="35">
        <v>250</v>
      </c>
      <c r="K10" s="35">
        <v>150</v>
      </c>
      <c r="L10" s="23">
        <v>67</v>
      </c>
      <c r="M10" s="23">
        <v>65</v>
      </c>
      <c r="N10" s="33"/>
      <c r="O10" s="33"/>
      <c r="Q10" s="34" t="s">
        <v>47</v>
      </c>
    </row>
    <row r="11" spans="1:17" s="34" customFormat="1" x14ac:dyDescent="0.3">
      <c r="A11" s="32" t="s">
        <v>29</v>
      </c>
      <c r="B11" s="23">
        <v>170</v>
      </c>
      <c r="C11" s="23">
        <v>180</v>
      </c>
      <c r="D11" s="35">
        <v>100</v>
      </c>
      <c r="E11" s="35">
        <v>30</v>
      </c>
      <c r="F11" s="35">
        <v>20</v>
      </c>
      <c r="G11" s="35">
        <v>20</v>
      </c>
      <c r="H11" s="35">
        <v>20</v>
      </c>
      <c r="I11" s="35">
        <v>20</v>
      </c>
      <c r="J11" s="35">
        <v>20</v>
      </c>
      <c r="K11" s="35">
        <v>100</v>
      </c>
      <c r="L11" s="23">
        <v>215</v>
      </c>
      <c r="M11" s="23">
        <v>124</v>
      </c>
      <c r="N11" s="33"/>
      <c r="O11" s="33"/>
      <c r="Q11" s="34" t="s">
        <v>43</v>
      </c>
    </row>
    <row r="12" spans="1:17" s="34" customFormat="1" x14ac:dyDescent="0.3">
      <c r="A12" s="32" t="s">
        <v>30</v>
      </c>
      <c r="B12" s="33">
        <f>B11+B10</f>
        <v>249</v>
      </c>
      <c r="C12" s="33">
        <f t="shared" ref="C12:M12" si="2">C11+C10</f>
        <v>260</v>
      </c>
      <c r="D12" s="33">
        <f t="shared" si="2"/>
        <v>250</v>
      </c>
      <c r="E12" s="33">
        <f t="shared" si="2"/>
        <v>260</v>
      </c>
      <c r="F12" s="33">
        <f t="shared" si="2"/>
        <v>270</v>
      </c>
      <c r="G12" s="33">
        <f t="shared" si="2"/>
        <v>270</v>
      </c>
      <c r="H12" s="33">
        <f t="shared" si="2"/>
        <v>270</v>
      </c>
      <c r="I12" s="33">
        <f t="shared" si="2"/>
        <v>270</v>
      </c>
      <c r="J12" s="33">
        <f t="shared" si="2"/>
        <v>270</v>
      </c>
      <c r="K12" s="33">
        <f t="shared" si="2"/>
        <v>250</v>
      </c>
      <c r="L12" s="33">
        <f t="shared" si="2"/>
        <v>282</v>
      </c>
      <c r="M12" s="33">
        <f t="shared" si="2"/>
        <v>189</v>
      </c>
      <c r="N12" s="33"/>
      <c r="O12" s="33"/>
    </row>
    <row r="13" spans="1:17" s="34" customFormat="1" x14ac:dyDescent="0.3">
      <c r="A13" s="32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</row>
    <row r="14" spans="1:17" s="24" customFormat="1" x14ac:dyDescent="0.3">
      <c r="A14" s="32" t="s">
        <v>24</v>
      </c>
      <c r="B14" s="23">
        <v>0</v>
      </c>
      <c r="C14" s="23">
        <v>0</v>
      </c>
      <c r="D14" s="35">
        <v>25</v>
      </c>
      <c r="E14" s="35">
        <v>50</v>
      </c>
      <c r="F14" s="35">
        <v>100</v>
      </c>
      <c r="G14" s="35">
        <v>150</v>
      </c>
      <c r="H14" s="35">
        <v>140</v>
      </c>
      <c r="I14" s="35">
        <v>88</v>
      </c>
      <c r="J14" s="35">
        <v>50</v>
      </c>
      <c r="K14" s="23">
        <v>25</v>
      </c>
      <c r="L14" s="23">
        <v>0</v>
      </c>
      <c r="M14" s="23">
        <v>0</v>
      </c>
      <c r="N14" s="23"/>
      <c r="O14" s="23"/>
      <c r="Q14" s="34"/>
    </row>
    <row r="15" spans="1:17" s="24" customFormat="1" x14ac:dyDescent="0.3">
      <c r="A15" s="32" t="s">
        <v>25</v>
      </c>
      <c r="B15" s="23">
        <v>0</v>
      </c>
      <c r="C15" s="23">
        <v>157</v>
      </c>
      <c r="D15" s="23">
        <v>138</v>
      </c>
      <c r="E15" s="23">
        <v>98</v>
      </c>
      <c r="F15" s="23">
        <v>78</v>
      </c>
      <c r="G15" s="23">
        <v>64</v>
      </c>
      <c r="H15" s="23">
        <v>40</v>
      </c>
      <c r="I15" s="23">
        <v>40</v>
      </c>
      <c r="J15" s="23">
        <v>0</v>
      </c>
      <c r="K15" s="23">
        <v>0</v>
      </c>
      <c r="L15" s="23">
        <v>0</v>
      </c>
      <c r="M15" s="23">
        <v>0</v>
      </c>
      <c r="N15" s="23"/>
      <c r="O15" s="23"/>
      <c r="Q15" s="34"/>
    </row>
    <row r="16" spans="1:17" s="34" customFormat="1" x14ac:dyDescent="0.3">
      <c r="A16" s="32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</row>
    <row r="17" spans="1:17" s="34" customFormat="1" x14ac:dyDescent="0.3">
      <c r="A17" s="32" t="s">
        <v>36</v>
      </c>
      <c r="B17" s="33">
        <f>-B5+B7-B10+B11-B14-B15</f>
        <v>-130</v>
      </c>
      <c r="C17" s="33">
        <f t="shared" ref="C17:M17" si="3">-C5+C7-C10+C11-C14-C15</f>
        <v>0</v>
      </c>
      <c r="D17" s="33">
        <f t="shared" si="3"/>
        <v>0</v>
      </c>
      <c r="E17" s="33">
        <f t="shared" si="3"/>
        <v>30</v>
      </c>
      <c r="F17" s="33">
        <f t="shared" si="3"/>
        <v>0</v>
      </c>
      <c r="G17" s="33">
        <f t="shared" si="3"/>
        <v>0</v>
      </c>
      <c r="H17" s="33">
        <f t="shared" si="3"/>
        <v>0</v>
      </c>
      <c r="I17" s="33">
        <f t="shared" si="3"/>
        <v>0</v>
      </c>
      <c r="J17" s="33">
        <f t="shared" si="3"/>
        <v>-3</v>
      </c>
      <c r="K17" s="33">
        <f t="shared" si="3"/>
        <v>-48</v>
      </c>
      <c r="L17" s="33">
        <f t="shared" si="3"/>
        <v>-83</v>
      </c>
      <c r="M17" s="33">
        <f t="shared" si="3"/>
        <v>-215</v>
      </c>
      <c r="N17" s="33"/>
      <c r="O17" s="33"/>
      <c r="Q17" s="34" t="s">
        <v>37</v>
      </c>
    </row>
    <row r="18" spans="1:17" s="31" customFormat="1" x14ac:dyDescent="0.3">
      <c r="A18" s="28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30"/>
      <c r="Q18" s="42"/>
    </row>
    <row r="19" spans="1:17" s="34" customFormat="1" x14ac:dyDescent="0.3">
      <c r="A19" s="32" t="s">
        <v>14</v>
      </c>
      <c r="B19" s="23">
        <f>-B17+B11</f>
        <v>300</v>
      </c>
      <c r="C19" s="23">
        <f t="shared" ref="C19:M19" si="4">-C17+C11</f>
        <v>180</v>
      </c>
      <c r="D19" s="23">
        <f t="shared" si="4"/>
        <v>100</v>
      </c>
      <c r="E19" s="23">
        <f t="shared" si="4"/>
        <v>0</v>
      </c>
      <c r="F19" s="23">
        <f t="shared" si="4"/>
        <v>20</v>
      </c>
      <c r="G19" s="23">
        <f t="shared" si="4"/>
        <v>20</v>
      </c>
      <c r="H19" s="23">
        <f t="shared" si="4"/>
        <v>20</v>
      </c>
      <c r="I19" s="23">
        <f t="shared" si="4"/>
        <v>20</v>
      </c>
      <c r="J19" s="23">
        <f t="shared" si="4"/>
        <v>23</v>
      </c>
      <c r="K19" s="23">
        <f t="shared" si="4"/>
        <v>148</v>
      </c>
      <c r="L19" s="23">
        <f t="shared" si="4"/>
        <v>298</v>
      </c>
      <c r="M19" s="23">
        <f t="shared" si="4"/>
        <v>339</v>
      </c>
      <c r="N19" s="33"/>
      <c r="O19" s="33"/>
      <c r="Q19" s="34" t="s">
        <v>48</v>
      </c>
    </row>
    <row r="20" spans="1:17" s="34" customFormat="1" x14ac:dyDescent="0.3">
      <c r="A20" s="32" t="s">
        <v>42</v>
      </c>
      <c r="B20" s="27">
        <f>(B19-B11)/B2</f>
        <v>4.193548387096774</v>
      </c>
      <c r="C20" s="27">
        <f t="shared" ref="C20:M20" si="5">(C19-C11)/C2</f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f t="shared" si="5"/>
        <v>1.5483870967741935</v>
      </c>
      <c r="L20" s="27">
        <f t="shared" si="5"/>
        <v>2.7666666666666666</v>
      </c>
      <c r="M20" s="27">
        <f t="shared" si="5"/>
        <v>6.935483870967742</v>
      </c>
      <c r="N20" s="33"/>
      <c r="O20" s="33"/>
      <c r="Q20" s="34" t="s">
        <v>49</v>
      </c>
    </row>
    <row r="21" spans="1:17" s="34" customFormat="1" x14ac:dyDescent="0.3">
      <c r="A21" s="32" t="s">
        <v>15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33"/>
      <c r="O21" s="33"/>
    </row>
    <row r="22" spans="1:17" s="34" customFormat="1" x14ac:dyDescent="0.3">
      <c r="A22" s="32" t="s">
        <v>16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33"/>
      <c r="O22" s="33"/>
    </row>
    <row r="23" spans="1:17" s="15" customFormat="1" x14ac:dyDescent="0.3">
      <c r="A23" s="14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6"/>
      <c r="Q23" s="34"/>
    </row>
    <row r="24" spans="1:17" s="12" customFormat="1" x14ac:dyDescent="0.3">
      <c r="A24" s="11" t="s">
        <v>51</v>
      </c>
      <c r="B24" s="13">
        <v>0.45</v>
      </c>
      <c r="C24" s="13">
        <f>B24</f>
        <v>0.45</v>
      </c>
      <c r="D24" s="13">
        <f t="shared" ref="D24" si="6">C24</f>
        <v>0.45</v>
      </c>
      <c r="E24" s="13">
        <f t="shared" ref="E24" si="7">D24</f>
        <v>0.45</v>
      </c>
      <c r="F24" s="13">
        <f t="shared" ref="F24" si="8">E24</f>
        <v>0.45</v>
      </c>
      <c r="G24" s="13">
        <f t="shared" ref="G24" si="9">F24</f>
        <v>0.45</v>
      </c>
      <c r="H24" s="13">
        <f t="shared" ref="H24" si="10">G24</f>
        <v>0.45</v>
      </c>
      <c r="I24" s="13">
        <f t="shared" ref="I24" si="11">H24</f>
        <v>0.45</v>
      </c>
      <c r="J24" s="13">
        <f t="shared" ref="J24" si="12">I24</f>
        <v>0.45</v>
      </c>
      <c r="K24" s="13">
        <f t="shared" ref="K24" si="13">J24</f>
        <v>0.45</v>
      </c>
      <c r="L24" s="13">
        <f t="shared" ref="L24" si="14">K24</f>
        <v>0.45</v>
      </c>
      <c r="M24" s="13">
        <f t="shared" ref="M24" si="15">L24</f>
        <v>0.45</v>
      </c>
      <c r="N24" s="13"/>
      <c r="O24" s="38"/>
      <c r="Q24" s="22"/>
    </row>
    <row r="25" spans="1:17" s="12" customFormat="1" x14ac:dyDescent="0.3">
      <c r="A25" s="11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Q25" s="22"/>
    </row>
    <row r="26" spans="1:17" s="12" customFormat="1" x14ac:dyDescent="0.3">
      <c r="A26" s="11" t="s">
        <v>31</v>
      </c>
      <c r="B26" s="13">
        <v>0.47499999999999998</v>
      </c>
      <c r="C26" s="13">
        <v>0.40129999999999999</v>
      </c>
      <c r="D26" s="13">
        <v>0.40129999999999999</v>
      </c>
      <c r="E26" s="13">
        <v>0.40129999999999999</v>
      </c>
      <c r="F26" s="13">
        <v>0.40129999999999999</v>
      </c>
      <c r="G26" s="13">
        <v>0.40129999999999999</v>
      </c>
      <c r="H26" s="13">
        <v>0.40129999999999999</v>
      </c>
      <c r="I26" s="13">
        <v>0.40129999999999999</v>
      </c>
      <c r="J26" s="13">
        <v>0.40129999999999999</v>
      </c>
      <c r="K26" s="13">
        <v>0.40129999999999999</v>
      </c>
      <c r="L26" s="13">
        <v>0.40129999999999999</v>
      </c>
      <c r="M26" s="13">
        <v>0.40129999999999999</v>
      </c>
      <c r="N26" s="13"/>
      <c r="O26" s="13"/>
      <c r="Q26" s="22"/>
    </row>
    <row r="27" spans="1:17" s="12" customFormat="1" x14ac:dyDescent="0.3">
      <c r="A27" s="11" t="s">
        <v>32</v>
      </c>
      <c r="B27" s="13">
        <v>0.34</v>
      </c>
      <c r="C27" s="13">
        <v>0.40129999999999999</v>
      </c>
      <c r="D27" s="13">
        <v>0.40129999999999999</v>
      </c>
      <c r="E27" s="13">
        <v>0.40129999999999999</v>
      </c>
      <c r="F27" s="13">
        <v>0.40129999999999999</v>
      </c>
      <c r="G27" s="13">
        <v>0.40129999999999999</v>
      </c>
      <c r="H27" s="13">
        <v>0.40129999999999999</v>
      </c>
      <c r="I27" s="13">
        <v>0.40129999999999999</v>
      </c>
      <c r="J27" s="13">
        <v>0.40129999999999999</v>
      </c>
      <c r="K27" s="13">
        <v>0.40129999999999999</v>
      </c>
      <c r="L27" s="13">
        <v>0.40129999999999999</v>
      </c>
      <c r="M27" s="13">
        <v>0.40129999999999999</v>
      </c>
      <c r="N27" s="13"/>
      <c r="O27" s="13"/>
      <c r="Q27" s="22"/>
    </row>
    <row r="28" spans="1:17" s="12" customFormat="1" x14ac:dyDescent="0.3">
      <c r="A28" s="36" t="s">
        <v>33</v>
      </c>
      <c r="B28" s="13">
        <v>0.20399999999999999</v>
      </c>
      <c r="C28" s="13">
        <f>B28</f>
        <v>0.20399999999999999</v>
      </c>
      <c r="D28" s="13">
        <f t="shared" ref="D28:M28" si="16">C28</f>
        <v>0.20399999999999999</v>
      </c>
      <c r="E28" s="13">
        <f t="shared" si="16"/>
        <v>0.20399999999999999</v>
      </c>
      <c r="F28" s="13">
        <f t="shared" si="16"/>
        <v>0.20399999999999999</v>
      </c>
      <c r="G28" s="13">
        <f t="shared" si="16"/>
        <v>0.20399999999999999</v>
      </c>
      <c r="H28" s="13">
        <f t="shared" si="16"/>
        <v>0.20399999999999999</v>
      </c>
      <c r="I28" s="13">
        <f t="shared" si="16"/>
        <v>0.20399999999999999</v>
      </c>
      <c r="J28" s="13">
        <f t="shared" si="16"/>
        <v>0.20399999999999999</v>
      </c>
      <c r="K28" s="13">
        <f t="shared" si="16"/>
        <v>0.20399999999999999</v>
      </c>
      <c r="L28" s="13">
        <f t="shared" si="16"/>
        <v>0.20399999999999999</v>
      </c>
      <c r="M28" s="13">
        <f t="shared" si="16"/>
        <v>0.20399999999999999</v>
      </c>
      <c r="N28" s="13"/>
      <c r="O28" s="13"/>
      <c r="Q28" s="22"/>
    </row>
    <row r="29" spans="1:17" s="12" customFormat="1" x14ac:dyDescent="0.3">
      <c r="A29" s="11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Q29" s="22"/>
    </row>
    <row r="30" spans="1:17" s="12" customFormat="1" x14ac:dyDescent="0.3">
      <c r="A30" s="11" t="s">
        <v>23</v>
      </c>
      <c r="B30" s="13">
        <v>0.36499999999999999</v>
      </c>
      <c r="C30" s="13">
        <f>B30</f>
        <v>0.36499999999999999</v>
      </c>
      <c r="D30" s="13">
        <f t="shared" ref="D30:M30" si="17">C30</f>
        <v>0.36499999999999999</v>
      </c>
      <c r="E30" s="13">
        <f t="shared" si="17"/>
        <v>0.36499999999999999</v>
      </c>
      <c r="F30" s="13">
        <f t="shared" si="17"/>
        <v>0.36499999999999999</v>
      </c>
      <c r="G30" s="13">
        <f t="shared" si="17"/>
        <v>0.36499999999999999</v>
      </c>
      <c r="H30" s="13">
        <f t="shared" si="17"/>
        <v>0.36499999999999999</v>
      </c>
      <c r="I30" s="13">
        <f t="shared" si="17"/>
        <v>0.36499999999999999</v>
      </c>
      <c r="J30" s="13">
        <f t="shared" si="17"/>
        <v>0.36499999999999999</v>
      </c>
      <c r="K30" s="13">
        <f t="shared" si="17"/>
        <v>0.36499999999999999</v>
      </c>
      <c r="L30" s="13">
        <f t="shared" si="17"/>
        <v>0.36499999999999999</v>
      </c>
      <c r="M30" s="13">
        <f t="shared" si="17"/>
        <v>0.36499999999999999</v>
      </c>
      <c r="N30" s="13"/>
      <c r="O30" s="13"/>
      <c r="Q30" s="22"/>
    </row>
    <row r="31" spans="1:17" s="12" customFormat="1" x14ac:dyDescent="0.3">
      <c r="A31" s="11" t="s">
        <v>17</v>
      </c>
      <c r="B31" s="13">
        <v>0.22</v>
      </c>
      <c r="C31" s="13">
        <f>B31</f>
        <v>0.22</v>
      </c>
      <c r="D31" s="13">
        <f t="shared" ref="D31:D32" si="18">C31</f>
        <v>0.22</v>
      </c>
      <c r="E31" s="13">
        <f t="shared" ref="E31:E32" si="19">D31</f>
        <v>0.22</v>
      </c>
      <c r="F31" s="13">
        <f t="shared" ref="F31:F32" si="20">E31</f>
        <v>0.22</v>
      </c>
      <c r="G31" s="13">
        <f t="shared" ref="G31:G32" si="21">F31</f>
        <v>0.22</v>
      </c>
      <c r="H31" s="13">
        <f t="shared" ref="H31:H32" si="22">G31</f>
        <v>0.22</v>
      </c>
      <c r="I31" s="13">
        <f t="shared" ref="I31:I32" si="23">H31</f>
        <v>0.22</v>
      </c>
      <c r="J31" s="13">
        <f t="shared" ref="J31:J32" si="24">I31</f>
        <v>0.22</v>
      </c>
      <c r="K31" s="13">
        <f t="shared" ref="K31:K32" si="25">J31</f>
        <v>0.22</v>
      </c>
      <c r="L31" s="13">
        <f t="shared" ref="L31:L32" si="26">K31</f>
        <v>0.22</v>
      </c>
      <c r="M31" s="13">
        <f t="shared" ref="M31:M32" si="27">L31</f>
        <v>0.22</v>
      </c>
      <c r="N31" s="13"/>
      <c r="O31" s="13"/>
      <c r="Q31" s="22"/>
    </row>
    <row r="32" spans="1:17" s="12" customFormat="1" x14ac:dyDescent="0.3">
      <c r="A32" s="11" t="s">
        <v>18</v>
      </c>
      <c r="B32" s="13">
        <v>9.4E-2</v>
      </c>
      <c r="C32" s="13">
        <f>B32</f>
        <v>9.4E-2</v>
      </c>
      <c r="D32" s="13">
        <f t="shared" si="18"/>
        <v>9.4E-2</v>
      </c>
      <c r="E32" s="13">
        <f t="shared" si="19"/>
        <v>9.4E-2</v>
      </c>
      <c r="F32" s="13">
        <f t="shared" si="20"/>
        <v>9.4E-2</v>
      </c>
      <c r="G32" s="13">
        <f t="shared" si="21"/>
        <v>9.4E-2</v>
      </c>
      <c r="H32" s="13">
        <f t="shared" si="22"/>
        <v>9.4E-2</v>
      </c>
      <c r="I32" s="13">
        <f t="shared" si="23"/>
        <v>9.4E-2</v>
      </c>
      <c r="J32" s="13">
        <f t="shared" si="24"/>
        <v>9.4E-2</v>
      </c>
      <c r="K32" s="13">
        <f t="shared" si="25"/>
        <v>9.4E-2</v>
      </c>
      <c r="L32" s="13">
        <f t="shared" si="26"/>
        <v>9.4E-2</v>
      </c>
      <c r="M32" s="13">
        <f t="shared" si="27"/>
        <v>9.4E-2</v>
      </c>
      <c r="N32" s="13"/>
      <c r="O32" s="13"/>
      <c r="Q32" s="22"/>
    </row>
    <row r="33" spans="1:17" s="8" customFormat="1" x14ac:dyDescent="0.3">
      <c r="A33" s="7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18"/>
      <c r="Q33" s="22"/>
    </row>
    <row r="34" spans="1:17" s="25" customFormat="1" x14ac:dyDescent="0.3">
      <c r="A34" s="37" t="s">
        <v>38</v>
      </c>
      <c r="B34" s="38">
        <f t="shared" ref="B34:M34" si="28">-B2*B24</f>
        <v>-13.950000000000001</v>
      </c>
      <c r="C34" s="38">
        <f t="shared" si="28"/>
        <v>-13.05</v>
      </c>
      <c r="D34" s="38">
        <f t="shared" si="28"/>
        <v>-13.950000000000001</v>
      </c>
      <c r="E34" s="38">
        <f t="shared" si="28"/>
        <v>-13.5</v>
      </c>
      <c r="F34" s="38">
        <f t="shared" si="28"/>
        <v>-13.950000000000001</v>
      </c>
      <c r="G34" s="38">
        <f t="shared" si="28"/>
        <v>-13.5</v>
      </c>
      <c r="H34" s="38">
        <f t="shared" si="28"/>
        <v>-13.950000000000001</v>
      </c>
      <c r="I34" s="38">
        <f t="shared" si="28"/>
        <v>-13.950000000000001</v>
      </c>
      <c r="J34" s="38">
        <f t="shared" si="28"/>
        <v>-13.5</v>
      </c>
      <c r="K34" s="38">
        <f t="shared" si="28"/>
        <v>-13.950000000000001</v>
      </c>
      <c r="L34" s="38">
        <f t="shared" si="28"/>
        <v>-13.5</v>
      </c>
      <c r="M34" s="38">
        <f t="shared" si="28"/>
        <v>-13.950000000000001</v>
      </c>
      <c r="N34" s="38"/>
      <c r="O34" s="38">
        <f>SUM(B34:M34)</f>
        <v>-164.7</v>
      </c>
      <c r="Q34" s="40" t="s">
        <v>52</v>
      </c>
    </row>
    <row r="35" spans="1:17" s="25" customFormat="1" x14ac:dyDescent="0.3">
      <c r="A35" s="37" t="s">
        <v>19</v>
      </c>
      <c r="B35" s="38">
        <f t="shared" ref="B35:M35" si="29">-B21*B26</f>
        <v>0</v>
      </c>
      <c r="C35" s="38">
        <f t="shared" si="29"/>
        <v>0</v>
      </c>
      <c r="D35" s="38">
        <f t="shared" si="29"/>
        <v>0</v>
      </c>
      <c r="E35" s="38">
        <f t="shared" si="29"/>
        <v>0</v>
      </c>
      <c r="F35" s="38">
        <f t="shared" si="29"/>
        <v>0</v>
      </c>
      <c r="G35" s="38">
        <f t="shared" si="29"/>
        <v>0</v>
      </c>
      <c r="H35" s="38">
        <f t="shared" si="29"/>
        <v>0</v>
      </c>
      <c r="I35" s="38">
        <f t="shared" si="29"/>
        <v>0</v>
      </c>
      <c r="J35" s="38">
        <f t="shared" si="29"/>
        <v>0</v>
      </c>
      <c r="K35" s="38">
        <f t="shared" si="29"/>
        <v>0</v>
      </c>
      <c r="L35" s="38">
        <f t="shared" si="29"/>
        <v>0</v>
      </c>
      <c r="M35" s="38">
        <f t="shared" si="29"/>
        <v>0</v>
      </c>
      <c r="N35" s="38"/>
      <c r="O35" s="38">
        <f>SUM(B35:M35)</f>
        <v>0</v>
      </c>
      <c r="Q35" s="40" t="s">
        <v>53</v>
      </c>
    </row>
    <row r="36" spans="1:17" s="25" customFormat="1" x14ac:dyDescent="0.3">
      <c r="A36" s="37" t="s">
        <v>20</v>
      </c>
      <c r="B36" s="38">
        <f t="shared" ref="B36:M36" si="30">-B22*B27</f>
        <v>0</v>
      </c>
      <c r="C36" s="38">
        <f t="shared" si="30"/>
        <v>0</v>
      </c>
      <c r="D36" s="38">
        <f t="shared" si="30"/>
        <v>0</v>
      </c>
      <c r="E36" s="38">
        <f t="shared" si="30"/>
        <v>0</v>
      </c>
      <c r="F36" s="38">
        <f t="shared" si="30"/>
        <v>0</v>
      </c>
      <c r="G36" s="38">
        <f t="shared" si="30"/>
        <v>0</v>
      </c>
      <c r="H36" s="38">
        <f t="shared" si="30"/>
        <v>0</v>
      </c>
      <c r="I36" s="38">
        <f t="shared" si="30"/>
        <v>0</v>
      </c>
      <c r="J36" s="38">
        <f t="shared" si="30"/>
        <v>0</v>
      </c>
      <c r="K36" s="38">
        <f t="shared" si="30"/>
        <v>0</v>
      </c>
      <c r="L36" s="38">
        <f t="shared" si="30"/>
        <v>0</v>
      </c>
      <c r="M36" s="38">
        <f t="shared" si="30"/>
        <v>0</v>
      </c>
      <c r="N36" s="38"/>
      <c r="O36" s="38">
        <f>SUM(B36:M36)</f>
        <v>0</v>
      </c>
      <c r="Q36" s="40" t="s">
        <v>53</v>
      </c>
    </row>
    <row r="37" spans="1:17" s="25" customFormat="1" x14ac:dyDescent="0.3">
      <c r="A37" s="37" t="s">
        <v>54</v>
      </c>
      <c r="B37" s="38">
        <f t="shared" ref="B37:M37" si="31">-(B21+B19)*B28</f>
        <v>-61.199999999999996</v>
      </c>
      <c r="C37" s="38">
        <f t="shared" si="31"/>
        <v>-36.72</v>
      </c>
      <c r="D37" s="38">
        <f t="shared" si="31"/>
        <v>-20.399999999999999</v>
      </c>
      <c r="E37" s="38">
        <f t="shared" si="31"/>
        <v>0</v>
      </c>
      <c r="F37" s="38">
        <f t="shared" si="31"/>
        <v>-4.08</v>
      </c>
      <c r="G37" s="38">
        <f t="shared" si="31"/>
        <v>-4.08</v>
      </c>
      <c r="H37" s="38">
        <f t="shared" si="31"/>
        <v>-4.08</v>
      </c>
      <c r="I37" s="38">
        <f t="shared" si="31"/>
        <v>-4.08</v>
      </c>
      <c r="J37" s="38">
        <f t="shared" si="31"/>
        <v>-4.6919999999999993</v>
      </c>
      <c r="K37" s="38">
        <f t="shared" si="31"/>
        <v>-30.191999999999997</v>
      </c>
      <c r="L37" s="38">
        <f t="shared" si="31"/>
        <v>-60.791999999999994</v>
      </c>
      <c r="M37" s="38">
        <f t="shared" si="31"/>
        <v>-69.155999999999992</v>
      </c>
      <c r="N37" s="38"/>
      <c r="O37" s="38">
        <f>SUM(B37:M37)</f>
        <v>-299.47200000000004</v>
      </c>
      <c r="Q37" s="40"/>
    </row>
    <row r="38" spans="1:17" s="6" customFormat="1" x14ac:dyDescent="0.3">
      <c r="A38" s="37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Q38" s="40"/>
    </row>
    <row r="39" spans="1:17" s="26" customFormat="1" x14ac:dyDescent="0.3">
      <c r="A39" s="37" t="s">
        <v>22</v>
      </c>
      <c r="B39" s="38">
        <f t="shared" ref="B39:M39" si="32">B14*B30</f>
        <v>0</v>
      </c>
      <c r="C39" s="38">
        <f t="shared" si="32"/>
        <v>0</v>
      </c>
      <c r="D39" s="38">
        <f t="shared" si="32"/>
        <v>9.125</v>
      </c>
      <c r="E39" s="38">
        <f t="shared" si="32"/>
        <v>18.25</v>
      </c>
      <c r="F39" s="38">
        <f t="shared" si="32"/>
        <v>36.5</v>
      </c>
      <c r="G39" s="38">
        <f t="shared" si="32"/>
        <v>54.75</v>
      </c>
      <c r="H39" s="38">
        <f t="shared" si="32"/>
        <v>51.1</v>
      </c>
      <c r="I39" s="38">
        <f t="shared" si="32"/>
        <v>32.119999999999997</v>
      </c>
      <c r="J39" s="38">
        <f t="shared" si="32"/>
        <v>18.25</v>
      </c>
      <c r="K39" s="38">
        <f t="shared" si="32"/>
        <v>9.125</v>
      </c>
      <c r="L39" s="38">
        <f t="shared" si="32"/>
        <v>0</v>
      </c>
      <c r="M39" s="38">
        <f t="shared" si="32"/>
        <v>0</v>
      </c>
      <c r="N39" s="38"/>
      <c r="O39" s="38">
        <f>SUM(B39:M39)</f>
        <v>229.22</v>
      </c>
      <c r="Q39" s="40" t="s">
        <v>41</v>
      </c>
    </row>
    <row r="40" spans="1:17" s="26" customFormat="1" x14ac:dyDescent="0.3">
      <c r="A40" s="37" t="s">
        <v>21</v>
      </c>
      <c r="B40" s="38">
        <f t="shared" ref="B40:M40" si="33">B15*B31</f>
        <v>0</v>
      </c>
      <c r="C40" s="38">
        <f t="shared" si="33"/>
        <v>34.54</v>
      </c>
      <c r="D40" s="38">
        <f t="shared" si="33"/>
        <v>30.36</v>
      </c>
      <c r="E40" s="38">
        <f t="shared" si="33"/>
        <v>21.56</v>
      </c>
      <c r="F40" s="38">
        <f t="shared" si="33"/>
        <v>17.16</v>
      </c>
      <c r="G40" s="38">
        <f t="shared" si="33"/>
        <v>14.08</v>
      </c>
      <c r="H40" s="38">
        <f t="shared" si="33"/>
        <v>8.8000000000000007</v>
      </c>
      <c r="I40" s="38">
        <f t="shared" si="33"/>
        <v>8.8000000000000007</v>
      </c>
      <c r="J40" s="38">
        <f t="shared" si="33"/>
        <v>0</v>
      </c>
      <c r="K40" s="38">
        <f t="shared" si="33"/>
        <v>0</v>
      </c>
      <c r="L40" s="38">
        <f t="shared" si="33"/>
        <v>0</v>
      </c>
      <c r="M40" s="38">
        <f t="shared" si="33"/>
        <v>0</v>
      </c>
      <c r="N40" s="38"/>
      <c r="O40" s="38">
        <f>SUM(B40:N40)</f>
        <v>135.30000000000001</v>
      </c>
      <c r="Q40" s="40" t="s">
        <v>41</v>
      </c>
    </row>
    <row r="41" spans="1:17" s="6" customFormat="1" x14ac:dyDescent="0.3">
      <c r="A41" s="9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Q41" s="40"/>
    </row>
    <row r="42" spans="1:17" s="10" customFormat="1" x14ac:dyDescent="0.3">
      <c r="A42" s="9" t="s">
        <v>39</v>
      </c>
      <c r="B42" s="39">
        <f t="shared" ref="B42" si="34">SUM(B34:B40)</f>
        <v>-75.149999999999991</v>
      </c>
      <c r="C42" s="39">
        <f t="shared" ref="C42:M42" si="35">SUM(C34:C40)</f>
        <v>-15.229999999999997</v>
      </c>
      <c r="D42" s="39">
        <f t="shared" si="35"/>
        <v>5.134999999999998</v>
      </c>
      <c r="E42" s="39">
        <f t="shared" si="35"/>
        <v>26.31</v>
      </c>
      <c r="F42" s="39">
        <f t="shared" si="35"/>
        <v>35.629999999999995</v>
      </c>
      <c r="G42" s="39">
        <f t="shared" si="35"/>
        <v>51.25</v>
      </c>
      <c r="H42" s="39">
        <f t="shared" si="35"/>
        <v>41.870000000000005</v>
      </c>
      <c r="I42" s="39">
        <f t="shared" si="35"/>
        <v>22.889999999999997</v>
      </c>
      <c r="J42" s="39">
        <f t="shared" si="35"/>
        <v>5.7999999999999829E-2</v>
      </c>
      <c r="K42" s="39">
        <f t="shared" si="35"/>
        <v>-35.016999999999996</v>
      </c>
      <c r="L42" s="39">
        <f t="shared" si="35"/>
        <v>-74.292000000000002</v>
      </c>
      <c r="M42" s="39">
        <f t="shared" si="35"/>
        <v>-83.105999999999995</v>
      </c>
      <c r="N42" s="39"/>
      <c r="O42" s="39">
        <f>SUM(O34:O40)</f>
        <v>-99.652000000000015</v>
      </c>
      <c r="Q42" s="40" t="s">
        <v>40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75629-569C-4038-93BB-F9C51BD7B878}">
  <dimension ref="A2:A8"/>
  <sheetViews>
    <sheetView workbookViewId="0">
      <selection activeCell="A13" sqref="A13"/>
    </sheetView>
  </sheetViews>
  <sheetFormatPr defaultRowHeight="15.6" x14ac:dyDescent="0.3"/>
  <cols>
    <col min="1" max="1" width="186" style="43" customWidth="1"/>
    <col min="2" max="16384" width="8.88671875" style="44"/>
  </cols>
  <sheetData>
    <row r="2" spans="1:1" x14ac:dyDescent="0.3">
      <c r="A2" s="43" t="s">
        <v>58</v>
      </c>
    </row>
    <row r="4" spans="1:1" x14ac:dyDescent="0.3">
      <c r="A4" s="43" t="s">
        <v>55</v>
      </c>
    </row>
    <row r="6" spans="1:1" x14ac:dyDescent="0.3">
      <c r="A6" s="43" t="s">
        <v>56</v>
      </c>
    </row>
    <row r="8" spans="1:1" x14ac:dyDescent="0.3">
      <c r="A8" s="43" t="s">
        <v>57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Octopus Flux</vt:lpstr>
      <vt:lpstr>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Collingridge</dc:creator>
  <cp:lastModifiedBy>Rob Collingridge</cp:lastModifiedBy>
  <dcterms:created xsi:type="dcterms:W3CDTF">2022-07-30T20:26:54Z</dcterms:created>
  <dcterms:modified xsi:type="dcterms:W3CDTF">2023-02-18T13:45:19Z</dcterms:modified>
</cp:coreProperties>
</file>